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540" windowWidth="44620" windowHeight="17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<sst xmlns="http://schemas.openxmlformats.org/spreadsheetml/2006/main" count="46" uniqueCount="35">
  <si>
    <t>Material</t>
  </si>
  <si>
    <t>Thickness</t>
  </si>
  <si>
    <t>k Value</t>
  </si>
  <si>
    <t>Resistance</t>
  </si>
  <si>
    <t>V.Resistivity</t>
  </si>
  <si>
    <t>V.Resistance</t>
  </si>
  <si>
    <t>Max V.P.</t>
  </si>
  <si>
    <t>mmHg</t>
  </si>
  <si>
    <t>R.H.</t>
  </si>
  <si>
    <t>Internal Surface</t>
  </si>
  <si>
    <t>Plaster</t>
  </si>
  <si>
    <t>Clinker Block</t>
  </si>
  <si>
    <t>Brick</t>
  </si>
  <si>
    <t>External Surface</t>
  </si>
  <si>
    <t>Total Resistance =</t>
  </si>
  <si>
    <t>U-Value =</t>
  </si>
  <si>
    <t xml:space="preserve">1/Total </t>
  </si>
  <si>
    <t>W/m2 C</t>
  </si>
  <si>
    <t>From</t>
  </si>
  <si>
    <t>re-arranged</t>
  </si>
  <si>
    <t>From Antoine</t>
  </si>
  <si>
    <t>Antoine</t>
  </si>
  <si>
    <t>Equation</t>
  </si>
  <si>
    <t>Brickslip</t>
  </si>
  <si>
    <t>Rockwool</t>
  </si>
  <si>
    <t>Gloss Paint</t>
  </si>
  <si>
    <t>Phenolic Insulation</t>
  </si>
  <si>
    <t>Cement Render</t>
  </si>
  <si>
    <t>Polystyrene Insulation</t>
  </si>
  <si>
    <t>Name</t>
  </si>
  <si>
    <t>Vapour Resistivity</t>
  </si>
  <si>
    <t>CONDENSATION RISK CALCULATOR</t>
  </si>
  <si>
    <t>Red cells indicate possible condensation risk.</t>
  </si>
  <si>
    <t>Temperature</t>
  </si>
  <si>
    <t>Dew Point Temp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</si>
</sst>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</numFmts>
  <fonts count="36">
    <font>
      <sz val="10"/>
      <name val="Verdana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64" fontId="0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5" fontId="0" fillId="33" borderId="10" xfId="0" applyNumberFormat="1" applyFont="1" applyFill="1" applyBorder="1" applyAlignment="1">
      <alignment horizontal="right"/>
    </xf>
    <xf numFmtId="165" fontId="0" fillId="33" borderId="11" xfId="0" applyNumberFormat="1" applyFill="1" applyBorder="1" applyAlignment="1">
      <alignment/>
    </xf>
    <xf numFmtId="0" fontId="0" fillId="33" borderId="0" xfId="0" applyFill="1" applyBorder="1" applyAlignment="1">
      <alignment/>
    </xf>
    <xf numFmtId="165" fontId="0" fillId="33" borderId="15" xfId="0" applyNumberFormat="1" applyFill="1" applyBorder="1" applyAlignment="1">
      <alignment/>
    </xf>
    <xf numFmtId="164" fontId="0" fillId="33" borderId="10" xfId="0" applyNumberFormat="1" applyFont="1" applyFill="1" applyBorder="1" applyAlignment="1">
      <alignment horizontal="right"/>
    </xf>
    <xf numFmtId="164" fontId="0" fillId="33" borderId="11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165" fontId="0" fillId="0" borderId="12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11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64" fontId="0" fillId="0" borderId="11" xfId="0" applyNumberFormat="1" applyBorder="1" applyAlignment="1" applyProtection="1">
      <alignment/>
      <protection locked="0"/>
    </xf>
    <xf numFmtId="0" fontId="0" fillId="9" borderId="0" xfId="0" applyFill="1" applyBorder="1" applyAlignment="1">
      <alignment/>
    </xf>
    <xf numFmtId="0" fontId="0" fillId="0" borderId="0" xfId="0" applyAlignment="1" applyProtection="1">
      <alignment/>
      <protection hidden="1"/>
    </xf>
    <xf numFmtId="165" fontId="0" fillId="33" borderId="11" xfId="0" applyNumberForma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="150" zoomScaleNormal="150" workbookViewId="0" topLeftCell="A1">
      <selection activeCell="R13" sqref="R13"/>
    </sheetView>
  </sheetViews>
  <sheetFormatPr defaultColWidth="11.00390625" defaultRowHeight="12.75"/>
  <cols>
    <col min="1" max="1" width="2.875" style="0" customWidth="1"/>
    <col min="2" max="2" width="16.00390625" style="0" customWidth="1"/>
    <col min="3" max="3" width="8.875" style="0" customWidth="1"/>
    <col min="4" max="4" width="9.25390625" style="0" customWidth="1"/>
    <col min="5" max="5" width="9.625" style="1" customWidth="1"/>
    <col min="6" max="6" width="10.75390625" style="38" customWidth="1"/>
    <col min="7" max="7" width="10.875" style="0" customWidth="1"/>
    <col min="8" max="8" width="11.875" style="0" customWidth="1"/>
    <col min="9" max="9" width="12.75390625" style="1" customWidth="1"/>
    <col min="10" max="10" width="13.25390625" style="43" customWidth="1"/>
    <col min="11" max="11" width="8.375" style="0" customWidth="1"/>
    <col min="12" max="12" width="8.00390625" style="2" customWidth="1"/>
    <col min="14" max="14" width="17.875" style="0" customWidth="1"/>
  </cols>
  <sheetData>
    <row r="1" spans="1:13" ht="12.75">
      <c r="A1" s="3"/>
      <c r="B1" s="33"/>
      <c r="C1" s="3"/>
      <c r="D1" s="3"/>
      <c r="E1" s="4"/>
      <c r="F1" s="34"/>
      <c r="G1" s="3"/>
      <c r="H1" s="3"/>
      <c r="I1" s="4"/>
      <c r="J1" s="39"/>
      <c r="K1" s="3"/>
      <c r="L1" s="6"/>
      <c r="M1" s="3"/>
    </row>
    <row r="2" spans="1:13" ht="12.75">
      <c r="A2" s="3"/>
      <c r="B2" s="3" t="s">
        <v>31</v>
      </c>
      <c r="C2" s="3"/>
      <c r="D2" s="3"/>
      <c r="E2" s="4"/>
      <c r="F2" s="34"/>
      <c r="G2" s="3"/>
      <c r="H2" s="3"/>
      <c r="I2" s="4"/>
      <c r="J2" s="39"/>
      <c r="K2" s="5"/>
      <c r="L2" s="6"/>
      <c r="M2" s="3"/>
    </row>
    <row r="3" spans="1:18" ht="12.75">
      <c r="A3" s="3"/>
      <c r="B3" s="3"/>
      <c r="C3" s="3"/>
      <c r="D3" s="3"/>
      <c r="E3" s="4"/>
      <c r="F3" s="34"/>
      <c r="G3" s="3"/>
      <c r="H3" s="3"/>
      <c r="I3" s="4"/>
      <c r="J3" s="39"/>
      <c r="K3" s="5"/>
      <c r="L3" s="6"/>
      <c r="M3" s="3"/>
      <c r="N3" t="s">
        <v>29</v>
      </c>
      <c r="P3" t="s">
        <v>2</v>
      </c>
      <c r="R3" t="s">
        <v>30</v>
      </c>
    </row>
    <row r="4" spans="1:13" ht="12.75">
      <c r="A4" s="3"/>
      <c r="B4" s="7" t="s">
        <v>0</v>
      </c>
      <c r="C4" s="8" t="s">
        <v>1</v>
      </c>
      <c r="D4" s="8" t="s">
        <v>2</v>
      </c>
      <c r="E4" s="9" t="s">
        <v>3</v>
      </c>
      <c r="F4" s="26" t="s">
        <v>33</v>
      </c>
      <c r="G4" s="8" t="s">
        <v>4</v>
      </c>
      <c r="H4" s="8" t="s">
        <v>5</v>
      </c>
      <c r="I4" s="9" t="s">
        <v>6</v>
      </c>
      <c r="J4" s="30" t="s">
        <v>34</v>
      </c>
      <c r="K4" s="10" t="s">
        <v>7</v>
      </c>
      <c r="L4" s="11" t="s">
        <v>8</v>
      </c>
      <c r="M4" s="3"/>
    </row>
    <row r="5" spans="1:18" ht="12.75">
      <c r="A5" s="3"/>
      <c r="B5" s="12"/>
      <c r="C5" s="12"/>
      <c r="D5" s="12"/>
      <c r="E5" s="13"/>
      <c r="F5" s="27"/>
      <c r="G5" s="12"/>
      <c r="H5" s="12"/>
      <c r="I5" s="13"/>
      <c r="J5" s="31"/>
      <c r="K5" s="14"/>
      <c r="L5" s="15"/>
      <c r="M5" s="3"/>
      <c r="N5" s="47" t="s">
        <v>25</v>
      </c>
      <c r="O5" s="52">
        <v>0</v>
      </c>
      <c r="P5" s="47">
        <v>1</v>
      </c>
      <c r="Q5" s="52">
        <v>0</v>
      </c>
      <c r="R5" s="47">
        <v>400000</v>
      </c>
    </row>
    <row r="6" spans="1:18" ht="12.75">
      <c r="A6" s="3"/>
      <c r="B6" s="12"/>
      <c r="C6" s="12"/>
      <c r="D6" s="12"/>
      <c r="E6" s="13"/>
      <c r="F6" s="53">
        <v>20</v>
      </c>
      <c r="G6" s="12"/>
      <c r="H6" s="12"/>
      <c r="I6" s="13">
        <f>10^(8.07131-1730.63/(233.426+F6))</f>
        <v>17.47325208459706</v>
      </c>
      <c r="J6" s="31">
        <f>1730.63/(8.07131-LOG(K6))-233.426</f>
        <v>9.3002540303751</v>
      </c>
      <c r="K6" s="14">
        <f>L6/100*I6</f>
        <v>8.73662604229853</v>
      </c>
      <c r="L6" s="46">
        <v>50</v>
      </c>
      <c r="M6" s="3"/>
      <c r="N6" s="47" t="s">
        <v>26</v>
      </c>
      <c r="O6" s="52">
        <v>0</v>
      </c>
      <c r="P6" s="47">
        <v>0.022</v>
      </c>
      <c r="Q6" s="52">
        <v>0</v>
      </c>
      <c r="R6" s="47">
        <v>300</v>
      </c>
    </row>
    <row r="7" spans="1:18" ht="12.75">
      <c r="A7" s="3"/>
      <c r="B7" s="12" t="s">
        <v>9</v>
      </c>
      <c r="C7" s="12">
        <v>1</v>
      </c>
      <c r="D7" s="12"/>
      <c r="E7" s="13">
        <v>0.13</v>
      </c>
      <c r="F7" s="27"/>
      <c r="G7" s="12">
        <v>0</v>
      </c>
      <c r="H7" s="12">
        <f>G7</f>
        <v>0</v>
      </c>
      <c r="I7" s="13"/>
      <c r="J7" s="31"/>
      <c r="K7" s="12"/>
      <c r="L7" s="15"/>
      <c r="M7" s="3"/>
      <c r="N7" s="47" t="s">
        <v>27</v>
      </c>
      <c r="O7" s="52">
        <v>0</v>
      </c>
      <c r="P7" s="47">
        <v>0.7</v>
      </c>
      <c r="Q7" s="52">
        <v>0</v>
      </c>
      <c r="R7" s="47">
        <v>100</v>
      </c>
    </row>
    <row r="8" spans="1:18" ht="12.75">
      <c r="A8" s="3"/>
      <c r="B8" s="12"/>
      <c r="C8" s="12"/>
      <c r="D8" s="12"/>
      <c r="E8" s="13"/>
      <c r="F8" s="27">
        <f>F6-(F6-F26)/E28*E7</f>
        <v>19.529011276831397</v>
      </c>
      <c r="G8" s="12"/>
      <c r="H8" s="12"/>
      <c r="I8" s="13">
        <f>10^(8.07131-1730.63/(233.426+F8))</f>
        <v>16.969092921086972</v>
      </c>
      <c r="J8" s="31">
        <f>1730.63/(8.07131-LOG(K8))-233.426</f>
        <v>9.3002540303751</v>
      </c>
      <c r="K8" s="14">
        <f>K6-(K6-K26)/H28*H7</f>
        <v>8.73662604229853</v>
      </c>
      <c r="L8" s="15">
        <f>K8/I8*100</f>
        <v>51.48552184213566</v>
      </c>
      <c r="M8" s="3"/>
      <c r="N8" s="47" t="s">
        <v>11</v>
      </c>
      <c r="O8" s="52">
        <v>0</v>
      </c>
      <c r="P8" s="47">
        <v>0.36</v>
      </c>
      <c r="Q8" s="52">
        <v>0</v>
      </c>
      <c r="R8" s="47">
        <v>40</v>
      </c>
    </row>
    <row r="9" spans="1:18" ht="12.75">
      <c r="A9" s="3"/>
      <c r="B9" s="44" t="s">
        <v>25</v>
      </c>
      <c r="C9" s="44">
        <v>0.1</v>
      </c>
      <c r="D9" s="12">
        <f>VLOOKUP(B9,$N$5:$R$13,3,0)</f>
        <v>1</v>
      </c>
      <c r="E9" s="13">
        <f>(C9/1000)/D9</f>
        <v>0.0001</v>
      </c>
      <c r="F9" s="27"/>
      <c r="G9" s="21">
        <f>VLOOKUP(B9,$N$5:$R$13,5,0)</f>
        <v>400000</v>
      </c>
      <c r="H9" s="12">
        <f>G9*C9/1000</f>
        <v>40</v>
      </c>
      <c r="I9" s="13"/>
      <c r="J9" s="31"/>
      <c r="K9" s="14"/>
      <c r="L9" s="15"/>
      <c r="M9" s="3"/>
      <c r="N9" s="47" t="s">
        <v>10</v>
      </c>
      <c r="O9" s="52">
        <v>0</v>
      </c>
      <c r="P9" s="47">
        <v>0.7</v>
      </c>
      <c r="Q9" s="52">
        <v>0</v>
      </c>
      <c r="R9" s="47">
        <v>100</v>
      </c>
    </row>
    <row r="10" spans="1:18" ht="12.75">
      <c r="A10" s="3"/>
      <c r="B10" s="48"/>
      <c r="C10" s="48"/>
      <c r="D10" s="12"/>
      <c r="E10" s="13"/>
      <c r="F10" s="27">
        <f>F8-(F6-F26)/E28*E9</f>
        <v>19.528648977813575</v>
      </c>
      <c r="G10" s="12"/>
      <c r="H10" s="12"/>
      <c r="I10" s="13">
        <f>10^(8.07131-1730.63/(233.426+F10))</f>
        <v>16.968710047992584</v>
      </c>
      <c r="J10" s="31">
        <f>1730.63/(8.07131-LOG(K10))-233.426</f>
        <v>4.244574810144229</v>
      </c>
      <c r="K10" s="14">
        <f>K8-(K6-K26)/H28*H9</f>
        <v>6.161359961342294</v>
      </c>
      <c r="L10" s="15">
        <f>K10/I10*100</f>
        <v>36.31012577807108</v>
      </c>
      <c r="M10" s="3"/>
      <c r="N10" s="47" t="s">
        <v>12</v>
      </c>
      <c r="O10" s="52">
        <v>0</v>
      </c>
      <c r="P10" s="47">
        <v>0.77</v>
      </c>
      <c r="Q10" s="52">
        <v>0</v>
      </c>
      <c r="R10" s="47">
        <v>60</v>
      </c>
    </row>
    <row r="11" spans="1:18" ht="12.75">
      <c r="A11" s="3"/>
      <c r="B11" s="44" t="s">
        <v>10</v>
      </c>
      <c r="C11" s="44">
        <v>6</v>
      </c>
      <c r="D11" s="12">
        <f>VLOOKUP(B11,$N$5:$R$13,3,0)</f>
        <v>0.7</v>
      </c>
      <c r="E11" s="13">
        <f>(C11/1000)/D11</f>
        <v>0.008571428571428572</v>
      </c>
      <c r="F11" s="27"/>
      <c r="G11" s="21">
        <f>VLOOKUP(B11,$N$5:$R$13,5,0)</f>
        <v>100</v>
      </c>
      <c r="H11" s="12">
        <f>G11*C11/1000</f>
        <v>0.6</v>
      </c>
      <c r="I11" s="13"/>
      <c r="J11" s="31"/>
      <c r="K11" s="12"/>
      <c r="L11" s="15"/>
      <c r="M11" s="3"/>
      <c r="N11" s="47" t="s">
        <v>24</v>
      </c>
      <c r="O11" s="52">
        <v>0</v>
      </c>
      <c r="P11" s="47">
        <v>0.036</v>
      </c>
      <c r="Q11" s="52">
        <v>0</v>
      </c>
      <c r="R11" s="47">
        <v>5.9</v>
      </c>
    </row>
    <row r="12" spans="1:18" ht="12.75">
      <c r="A12" s="3"/>
      <c r="B12" s="48"/>
      <c r="C12" s="48"/>
      <c r="D12" s="12"/>
      <c r="E12" s="13"/>
      <c r="F12" s="27">
        <f>F10-(F6-F26)/E28*E11</f>
        <v>19.497594776285975</v>
      </c>
      <c r="G12" s="12"/>
      <c r="H12" s="12"/>
      <c r="I12" s="13">
        <f>10^(8.07131-1730.63/(233.426+F12))</f>
        <v>16.93592036969394</v>
      </c>
      <c r="J12" s="31">
        <f>1730.63/(8.07131-LOG(K12))-233.426</f>
        <v>4.155455911483074</v>
      </c>
      <c r="K12" s="14">
        <f>K10-(K6-K26)/H28*H11</f>
        <v>6.12273097012795</v>
      </c>
      <c r="L12" s="15">
        <f>K12/I12*100</f>
        <v>36.15233678757902</v>
      </c>
      <c r="M12" s="3"/>
      <c r="N12" s="47" t="s">
        <v>23</v>
      </c>
      <c r="O12" s="52">
        <v>0</v>
      </c>
      <c r="P12" s="47">
        <v>0.77</v>
      </c>
      <c r="Q12" s="52">
        <v>0</v>
      </c>
      <c r="R12" s="47">
        <v>60</v>
      </c>
    </row>
    <row r="13" spans="1:18" ht="12.75">
      <c r="A13" s="3"/>
      <c r="B13" s="44" t="s">
        <v>26</v>
      </c>
      <c r="C13" s="44">
        <v>40</v>
      </c>
      <c r="D13" s="12">
        <f>VLOOKUP(B13,$N$5:$R$13,3,0)</f>
        <v>0.022</v>
      </c>
      <c r="E13" s="13">
        <f>(C13/1000)/D13</f>
        <v>1.8181818181818183</v>
      </c>
      <c r="F13" s="27"/>
      <c r="G13" s="21">
        <f>VLOOKUP(B13,$N$5:$R$13,5,0)</f>
        <v>300</v>
      </c>
      <c r="H13" s="12">
        <f>G13*C13/1000</f>
        <v>12</v>
      </c>
      <c r="I13" s="13"/>
      <c r="J13" s="31"/>
      <c r="K13" s="12"/>
      <c r="L13" s="15"/>
      <c r="M13" s="3"/>
      <c r="N13" s="47" t="s">
        <v>28</v>
      </c>
      <c r="O13" s="52">
        <v>0</v>
      </c>
      <c r="P13" s="47">
        <v>0.034</v>
      </c>
      <c r="Q13" s="52">
        <v>0</v>
      </c>
      <c r="R13" s="47">
        <v>145</v>
      </c>
    </row>
    <row r="14" spans="1:13" ht="12.75">
      <c r="A14" s="3"/>
      <c r="B14" s="48"/>
      <c r="C14" s="48"/>
      <c r="D14" s="12"/>
      <c r="E14" s="13"/>
      <c r="F14" s="27">
        <f>F12-(F6-F26)/E28*E13</f>
        <v>12.910339906795048</v>
      </c>
      <c r="G14" s="12"/>
      <c r="H14" s="12"/>
      <c r="I14" s="13">
        <f>10^(8.07131-1730.63/(233.426+F14))</f>
        <v>11.113073287059233</v>
      </c>
      <c r="J14" s="31">
        <f>1730.63/(8.07131-LOG(K14))-233.426</f>
        <v>2.260124271286685</v>
      </c>
      <c r="K14" s="14">
        <f>K12-(K6-K26)/H28*H13</f>
        <v>5.350151145841079</v>
      </c>
      <c r="L14" s="15">
        <f>K14/I14*100</f>
        <v>48.142858484260465</v>
      </c>
      <c r="M14" s="3"/>
    </row>
    <row r="15" spans="1:13" ht="12.75">
      <c r="A15" s="3"/>
      <c r="B15" s="44" t="s">
        <v>11</v>
      </c>
      <c r="C15" s="44">
        <v>110</v>
      </c>
      <c r="D15" s="12">
        <f>VLOOKUP(B15,$N$5:$R$13,3,0)</f>
        <v>0.36</v>
      </c>
      <c r="E15" s="13">
        <f>(C15/1000)/D15</f>
        <v>0.3055555555555556</v>
      </c>
      <c r="F15" s="27"/>
      <c r="G15" s="21">
        <f>VLOOKUP(B15,$N$5:$R$13,5,0)</f>
        <v>40</v>
      </c>
      <c r="H15" s="12">
        <f>G15*C15/1000</f>
        <v>4.4</v>
      </c>
      <c r="I15" s="13"/>
      <c r="J15" s="31"/>
      <c r="K15" s="12"/>
      <c r="L15" s="15"/>
      <c r="M15" s="3"/>
    </row>
    <row r="16" spans="1:13" ht="12.75">
      <c r="A16" s="3"/>
      <c r="B16" s="48"/>
      <c r="C16" s="48"/>
      <c r="D16" s="12"/>
      <c r="E16" s="13"/>
      <c r="F16" s="27">
        <f>F14-(F6-F26)/E28*E15</f>
        <v>11.803315130116712</v>
      </c>
      <c r="G16" s="12"/>
      <c r="H16" s="12"/>
      <c r="I16" s="13">
        <f>10^(8.07131-1730.63/(233.426+F16))</f>
        <v>10.33045551034732</v>
      </c>
      <c r="J16" s="31">
        <f>1730.63/(8.07131-LOG(K16))-233.426</f>
        <v>1.5042296501866588</v>
      </c>
      <c r="K16" s="14">
        <f>K14-(K6-K26)/H28*H15</f>
        <v>5.066871876935893</v>
      </c>
      <c r="L16" s="15">
        <f>K16/I16*100</f>
        <v>49.04790376243089</v>
      </c>
      <c r="M16" s="3"/>
    </row>
    <row r="17" spans="1:13" ht="12.75">
      <c r="A17" s="3"/>
      <c r="B17" s="44" t="s">
        <v>24</v>
      </c>
      <c r="C17" s="44">
        <v>80</v>
      </c>
      <c r="D17" s="12">
        <f>VLOOKUP(B17,$N$5:$R$13,3,0)</f>
        <v>0.036</v>
      </c>
      <c r="E17" s="13">
        <f>(C17/1000)/D17</f>
        <v>2.2222222222222223</v>
      </c>
      <c r="F17" s="27"/>
      <c r="G17" s="21">
        <f>VLOOKUP(B17,$N$5:$R$13,5,0)</f>
        <v>5.9</v>
      </c>
      <c r="H17" s="12">
        <f>G17*C17/1000</f>
        <v>0.472</v>
      </c>
      <c r="I17" s="13"/>
      <c r="J17" s="31"/>
      <c r="K17" s="12"/>
      <c r="L17" s="15"/>
      <c r="M17" s="3"/>
    </row>
    <row r="18" spans="1:13" ht="12.75">
      <c r="A18" s="3"/>
      <c r="B18" s="48"/>
      <c r="C18" s="48"/>
      <c r="D18" s="12"/>
      <c r="E18" s="13"/>
      <c r="F18" s="27">
        <f>F16-(F6-F26)/E28*E17</f>
        <v>3.7522258451833554</v>
      </c>
      <c r="G18" s="12"/>
      <c r="H18" s="12"/>
      <c r="I18" s="13">
        <f>10^(8.07131-1730.63/(233.426+F18))</f>
        <v>5.950602291918433</v>
      </c>
      <c r="J18" s="31">
        <f>1730.63/(8.07131-LOG(K18))-233.426</f>
        <v>1.4209433289667288</v>
      </c>
      <c r="K18" s="14">
        <f>K16-(K6-K26)/H28*H17</f>
        <v>5.0364837371806095</v>
      </c>
      <c r="L18" s="15">
        <f>K18/I18*100</f>
        <v>84.63821795015109</v>
      </c>
      <c r="M18" s="3"/>
    </row>
    <row r="19" spans="1:13" ht="12.75">
      <c r="A19" s="3"/>
      <c r="B19" s="44" t="s">
        <v>12</v>
      </c>
      <c r="C19" s="44">
        <v>110</v>
      </c>
      <c r="D19" s="12">
        <f>VLOOKUP(B19,$N$5:$R$13,3,0)</f>
        <v>0.77</v>
      </c>
      <c r="E19" s="13">
        <f>(C19/1000)/D19</f>
        <v>0.14285714285714285</v>
      </c>
      <c r="F19" s="27"/>
      <c r="G19" s="21">
        <f>VLOOKUP(B19,$N$5:$R$13,5,0)</f>
        <v>60</v>
      </c>
      <c r="H19" s="12">
        <f>G19*C19/1000</f>
        <v>6.6</v>
      </c>
      <c r="I19" s="13"/>
      <c r="J19" s="31"/>
      <c r="K19" s="12"/>
      <c r="L19" s="15"/>
      <c r="M19" s="3"/>
    </row>
    <row r="20" spans="1:13" ht="12.75">
      <c r="A20" s="3"/>
      <c r="B20" s="48"/>
      <c r="C20" s="48"/>
      <c r="D20" s="12"/>
      <c r="E20" s="13"/>
      <c r="F20" s="27">
        <f>F18-(F6-F26)/E28*E19</f>
        <v>3.234655819723354</v>
      </c>
      <c r="G20" s="12"/>
      <c r="H20" s="12"/>
      <c r="I20" s="13">
        <f>10^(8.07131-1730.63/(233.426+F20))</f>
        <v>5.735920792478675</v>
      </c>
      <c r="J20" s="31">
        <f>1730.63/(8.07131-LOG(K20))-233.426</f>
        <v>0.2073381757405457</v>
      </c>
      <c r="K20" s="14">
        <f>K18-(K6-K26)/H28*H19</f>
        <v>4.611564833822831</v>
      </c>
      <c r="L20" s="15">
        <f>K20/I20*100</f>
        <v>80.39798666449204</v>
      </c>
      <c r="M20" s="3"/>
    </row>
    <row r="21" spans="1:14" ht="12.75">
      <c r="A21" s="21"/>
      <c r="B21" s="45" t="s">
        <v>24</v>
      </c>
      <c r="C21" s="45">
        <v>30</v>
      </c>
      <c r="D21" s="12">
        <f>VLOOKUP(B21,$N$5:$R$13,3,0)</f>
        <v>0.036</v>
      </c>
      <c r="E21" s="13">
        <f>(C21/1000)/D21</f>
        <v>0.8333333333333334</v>
      </c>
      <c r="F21" s="28"/>
      <c r="G21" s="21">
        <f>VLOOKUP(B21,$N$5:$R$13,5,0)</f>
        <v>5.9</v>
      </c>
      <c r="H21" s="12">
        <f>G21*C21/1000</f>
        <v>0.177</v>
      </c>
      <c r="I21" s="3"/>
      <c r="J21" s="32"/>
      <c r="K21" s="21"/>
      <c r="L21" s="25"/>
      <c r="M21" s="21"/>
      <c r="N21" s="3"/>
    </row>
    <row r="22" spans="1:14" ht="12.75">
      <c r="A22" s="21"/>
      <c r="B22" s="49"/>
      <c r="C22" s="49"/>
      <c r="D22" s="21"/>
      <c r="E22" s="22"/>
      <c r="F22" s="29">
        <f>F20-(F6-F26)/E28*E21</f>
        <v>0.2154973378733458</v>
      </c>
      <c r="G22" s="21"/>
      <c r="H22" s="3"/>
      <c r="I22" s="13">
        <f>10^(8.07131-1730.63/(233.426+F22))</f>
        <v>4.61431246446081</v>
      </c>
      <c r="J22" s="31">
        <f>1730.63/(8.07131-LOG(K22))-233.426</f>
        <v>0.17345290773371858</v>
      </c>
      <c r="K22" s="14">
        <f>K20-(K6-K26)/H28*H21</f>
        <v>4.600169281414599</v>
      </c>
      <c r="L22" s="15">
        <f>K22/I22*100</f>
        <v>99.69349316598863</v>
      </c>
      <c r="M22" s="21"/>
      <c r="N22" s="3"/>
    </row>
    <row r="23" spans="1:14" ht="12.75">
      <c r="A23" s="21"/>
      <c r="B23" s="45" t="s">
        <v>23</v>
      </c>
      <c r="C23" s="45">
        <v>15</v>
      </c>
      <c r="D23" s="12">
        <f>VLOOKUP(B23,$N$5:$R$13,3,0)</f>
        <v>0.77</v>
      </c>
      <c r="E23" s="23">
        <f>(C23/1000)/D23</f>
        <v>0.01948051948051948</v>
      </c>
      <c r="F23" s="28"/>
      <c r="G23" s="21">
        <f>VLOOKUP(B23,$N$5:$R$13,5,0)</f>
        <v>60</v>
      </c>
      <c r="H23" s="24">
        <f>G23*C23/1000</f>
        <v>0.9</v>
      </c>
      <c r="I23" s="21"/>
      <c r="J23" s="32"/>
      <c r="K23" s="21"/>
      <c r="L23" s="25"/>
      <c r="M23" s="21"/>
      <c r="N23" s="3"/>
    </row>
    <row r="24" spans="1:14" ht="12.75">
      <c r="A24" s="21"/>
      <c r="B24" s="21"/>
      <c r="C24" s="21"/>
      <c r="D24" s="21"/>
      <c r="E24" s="22"/>
      <c r="F24" s="29">
        <f>F22-(F6-F26)/E28*E23</f>
        <v>0.14491960712880014</v>
      </c>
      <c r="G24" s="21"/>
      <c r="H24" s="3"/>
      <c r="I24" s="13">
        <f>10^(8.07131-1730.63/(233.426+F24))</f>
        <v>4.5905928718719435</v>
      </c>
      <c r="J24" s="31">
        <f>1730.63/(8.07131-LOG(K24))-233.426</f>
        <v>0</v>
      </c>
      <c r="K24" s="14">
        <f>K22-(K6-K26)/H28*H23</f>
        <v>4.542225794593084</v>
      </c>
      <c r="L24" s="15">
        <f>K24/I24*100</f>
        <v>98.94638713062052</v>
      </c>
      <c r="M24" s="21"/>
      <c r="N24" s="3"/>
    </row>
    <row r="25" spans="1:13" ht="12.75">
      <c r="A25" s="3"/>
      <c r="B25" s="12" t="s">
        <v>13</v>
      </c>
      <c r="C25" s="12">
        <v>1</v>
      </c>
      <c r="D25" s="12"/>
      <c r="E25" s="50">
        <v>0.04</v>
      </c>
      <c r="F25" s="27"/>
      <c r="G25" s="12">
        <v>0</v>
      </c>
      <c r="H25" s="24">
        <f>G25</f>
        <v>0</v>
      </c>
      <c r="I25" s="23"/>
      <c r="J25" s="31"/>
      <c r="K25" s="12"/>
      <c r="L25" s="15"/>
      <c r="M25" s="3"/>
    </row>
    <row r="26" spans="1:13" ht="12.75">
      <c r="A26" s="3"/>
      <c r="B26" s="12"/>
      <c r="C26" s="12"/>
      <c r="D26" s="12"/>
      <c r="E26" s="13"/>
      <c r="F26" s="53">
        <v>0</v>
      </c>
      <c r="G26" s="12"/>
      <c r="H26" s="12"/>
      <c r="I26" s="13">
        <f>10^(8.07131-1730.63/(233.426+F26))</f>
        <v>4.542225794593084</v>
      </c>
      <c r="J26" s="31">
        <f>1730.63/(8.07131-LOG(K26))-233.426</f>
        <v>0</v>
      </c>
      <c r="K26" s="14">
        <f>L26/100*I26</f>
        <v>4.542225794593084</v>
      </c>
      <c r="L26" s="46">
        <v>100</v>
      </c>
      <c r="M26" s="3"/>
    </row>
    <row r="27" spans="1:13" ht="12.75">
      <c r="A27" s="3"/>
      <c r="B27" s="12"/>
      <c r="C27" s="12"/>
      <c r="D27" s="12"/>
      <c r="E27" s="13"/>
      <c r="F27" s="35"/>
      <c r="G27" s="12"/>
      <c r="H27" s="12"/>
      <c r="I27" s="13"/>
      <c r="J27" s="40"/>
      <c r="K27" s="14"/>
      <c r="L27" s="15"/>
      <c r="M27" s="3"/>
    </row>
    <row r="28" spans="1:13" ht="12.75">
      <c r="A28" s="3"/>
      <c r="B28" s="12" t="s">
        <v>14</v>
      </c>
      <c r="C28" s="12"/>
      <c r="D28" s="12"/>
      <c r="E28" s="13">
        <f>E7+E9+E11+E13+E15+E17+E19+E21+E23+E25</f>
        <v>5.5203020202020205</v>
      </c>
      <c r="F28" s="35"/>
      <c r="G28" s="12"/>
      <c r="H28" s="12">
        <f>H7+H9+H11+H13+H15+H17+H19+H21+H23+H25</f>
        <v>65.14900000000002</v>
      </c>
      <c r="I28" s="13"/>
      <c r="J28" s="40"/>
      <c r="K28" s="14"/>
      <c r="L28" s="15"/>
      <c r="M28" s="3"/>
    </row>
    <row r="29" spans="1:13" ht="12.75">
      <c r="A29" s="3"/>
      <c r="B29" s="12"/>
      <c r="C29" s="12"/>
      <c r="D29" s="12"/>
      <c r="E29" s="13"/>
      <c r="F29" s="35"/>
      <c r="G29" s="12"/>
      <c r="H29" s="12"/>
      <c r="I29" s="13"/>
      <c r="J29" s="40"/>
      <c r="K29" s="14"/>
      <c r="L29" s="15"/>
      <c r="M29" s="3"/>
    </row>
    <row r="30" spans="1:13" ht="12.75">
      <c r="A30" s="3"/>
      <c r="B30" s="12" t="s">
        <v>15</v>
      </c>
      <c r="C30" s="12" t="s">
        <v>16</v>
      </c>
      <c r="D30" s="12" t="s">
        <v>3</v>
      </c>
      <c r="E30" s="13">
        <f>1/E28</f>
        <v>0.1811495089110005</v>
      </c>
      <c r="F30" s="36" t="s">
        <v>17</v>
      </c>
      <c r="G30" s="12"/>
      <c r="H30" s="12"/>
      <c r="I30" s="13"/>
      <c r="J30" s="40"/>
      <c r="K30" s="14"/>
      <c r="L30" s="15"/>
      <c r="M30" s="3"/>
    </row>
    <row r="31" spans="1:13" ht="12.75">
      <c r="A31" s="3"/>
      <c r="B31" s="12"/>
      <c r="C31" s="12"/>
      <c r="D31" s="12"/>
      <c r="E31" s="13"/>
      <c r="F31" s="35"/>
      <c r="G31" s="12"/>
      <c r="H31" s="12"/>
      <c r="I31" s="13"/>
      <c r="J31" s="41" t="s">
        <v>18</v>
      </c>
      <c r="K31" s="14"/>
      <c r="L31" s="15"/>
      <c r="M31" s="3"/>
    </row>
    <row r="32" spans="1:13" ht="12.75">
      <c r="A32" s="3"/>
      <c r="B32" s="12"/>
      <c r="C32" s="12"/>
      <c r="D32" s="12"/>
      <c r="E32" s="13"/>
      <c r="F32" s="35"/>
      <c r="G32" s="12"/>
      <c r="H32" s="12"/>
      <c r="I32" s="13"/>
      <c r="J32" s="41" t="s">
        <v>19</v>
      </c>
      <c r="K32" s="14"/>
      <c r="L32" s="15"/>
      <c r="M32" s="3"/>
    </row>
    <row r="33" spans="1:13" ht="12.75">
      <c r="A33" s="3"/>
      <c r="B33" s="12"/>
      <c r="C33" s="12"/>
      <c r="D33" s="12"/>
      <c r="E33" s="13"/>
      <c r="F33" s="35"/>
      <c r="G33" s="12"/>
      <c r="H33" s="12"/>
      <c r="I33" s="16" t="s">
        <v>20</v>
      </c>
      <c r="J33" s="41" t="s">
        <v>21</v>
      </c>
      <c r="K33" s="12"/>
      <c r="L33" s="15"/>
      <c r="M33" s="3"/>
    </row>
    <row r="34" spans="1:13" ht="12.75">
      <c r="A34" s="3"/>
      <c r="B34" s="17"/>
      <c r="C34" s="17"/>
      <c r="D34" s="17"/>
      <c r="E34" s="18"/>
      <c r="F34" s="37"/>
      <c r="G34" s="17"/>
      <c r="H34" s="17"/>
      <c r="I34" s="19" t="s">
        <v>22</v>
      </c>
      <c r="J34" s="42" t="s">
        <v>22</v>
      </c>
      <c r="K34" s="17"/>
      <c r="L34" s="20"/>
      <c r="M34" s="3"/>
    </row>
    <row r="35" spans="1:13" ht="12.75">
      <c r="A35" s="3"/>
      <c r="B35" s="3"/>
      <c r="C35" s="3"/>
      <c r="D35" s="3"/>
      <c r="E35" s="4"/>
      <c r="F35" s="34"/>
      <c r="G35" s="3"/>
      <c r="H35" s="3"/>
      <c r="I35" s="4"/>
      <c r="J35" s="39"/>
      <c r="K35" s="3"/>
      <c r="L35" s="6"/>
      <c r="M35" s="3"/>
    </row>
    <row r="36" spans="1:13" ht="12.75">
      <c r="A36" s="3"/>
      <c r="B36" s="51" t="s">
        <v>32</v>
      </c>
      <c r="C36" s="51"/>
      <c r="D36" s="51"/>
      <c r="E36" s="4"/>
      <c r="F36" s="34"/>
      <c r="G36" s="3"/>
      <c r="H36" s="3"/>
      <c r="I36" s="4"/>
      <c r="J36" s="39"/>
      <c r="K36" s="3"/>
      <c r="L36" s="6"/>
      <c r="M36" s="3"/>
    </row>
    <row r="37" spans="1:13" ht="12.75">
      <c r="A37" s="3"/>
      <c r="B37" s="3"/>
      <c r="C37" s="3"/>
      <c r="D37" s="3"/>
      <c r="E37" s="4"/>
      <c r="F37" s="34"/>
      <c r="G37" s="3"/>
      <c r="H37" s="3"/>
      <c r="I37" s="4"/>
      <c r="J37" s="39"/>
      <c r="K37" s="3"/>
      <c r="L37" s="6"/>
      <c r="M37" s="3"/>
    </row>
    <row r="38" spans="1:13" ht="12.75">
      <c r="A38" s="3"/>
      <c r="B38" s="3"/>
      <c r="C38" s="3"/>
      <c r="D38" s="3"/>
      <c r="E38" s="4"/>
      <c r="F38" s="34"/>
      <c r="G38" s="3"/>
      <c r="H38" s="3"/>
      <c r="I38" s="4"/>
      <c r="J38" s="39"/>
      <c r="K38" s="3"/>
      <c r="L38" s="6"/>
      <c r="M38" s="3"/>
    </row>
    <row r="39" spans="1:13" ht="12.75">
      <c r="A39" s="3"/>
      <c r="B39" s="3"/>
      <c r="C39" s="3"/>
      <c r="D39" s="3"/>
      <c r="E39" s="4"/>
      <c r="F39" s="34"/>
      <c r="G39" s="3"/>
      <c r="H39" s="3"/>
      <c r="I39" s="4"/>
      <c r="J39" s="39"/>
      <c r="K39" s="3"/>
      <c r="L39" s="6"/>
      <c r="M39" s="3"/>
    </row>
  </sheetData>
  <sheetProtection sheet="1" objects="1" scenarios="1" selectLockedCells="1"/>
  <conditionalFormatting sqref="F22">
    <cfRule type="expression" priority="11" dxfId="11">
      <formula>(Sheet1!F22&lt;=Sheet1!J22)</formula>
    </cfRule>
  </conditionalFormatting>
  <conditionalFormatting sqref="F24">
    <cfRule type="expression" priority="10" dxfId="11">
      <formula>(Sheet1!F24&lt;=Sheet1!J24)</formula>
    </cfRule>
  </conditionalFormatting>
  <conditionalFormatting sqref="F26">
    <cfRule type="expression" priority="9" dxfId="11">
      <formula>(Sheet1!F26&lt;=Sheet1!J26)</formula>
    </cfRule>
  </conditionalFormatting>
  <conditionalFormatting sqref="F20">
    <cfRule type="expression" priority="8" dxfId="11">
      <formula>(Sheet1!F20&lt;=Sheet1!J20)</formula>
    </cfRule>
  </conditionalFormatting>
  <conditionalFormatting sqref="F18">
    <cfRule type="expression" priority="7" dxfId="11">
      <formula>(Sheet1!F18&lt;=Sheet1!J18)</formula>
    </cfRule>
  </conditionalFormatting>
  <conditionalFormatting sqref="F16">
    <cfRule type="expression" priority="6" dxfId="11">
      <formula>(Sheet1!F16&lt;=Sheet1!J16)</formula>
    </cfRule>
  </conditionalFormatting>
  <conditionalFormatting sqref="F14">
    <cfRule type="expression" priority="5" dxfId="11">
      <formula>(Sheet1!F14&lt;=Sheet1!J14)</formula>
    </cfRule>
  </conditionalFormatting>
  <conditionalFormatting sqref="F12">
    <cfRule type="expression" priority="4" dxfId="11">
      <formula>(Sheet1!F12&lt;=Sheet1!J12)</formula>
    </cfRule>
  </conditionalFormatting>
  <conditionalFormatting sqref="F10">
    <cfRule type="expression" priority="3" dxfId="11">
      <formula>(Sheet1!F10&lt;=Sheet1!J10)</formula>
    </cfRule>
  </conditionalFormatting>
  <conditionalFormatting sqref="F8">
    <cfRule type="expression" priority="2" dxfId="11">
      <formula>(Sheet1!F8&lt;=Sheet1!J8)</formula>
    </cfRule>
  </conditionalFormatting>
  <conditionalFormatting sqref="F6">
    <cfRule type="expression" priority="1" dxfId="11">
      <formula>(Sheet1!F6&lt;=Sheet1!J6)</formula>
    </cfRule>
  </conditionalFormatting>
  <dataValidations count="1">
    <dataValidation type="list" allowBlank="1" showInputMessage="1" showErrorMessage="1" sqref="B9 B13 B11 B15 B17 B19 B21 B23">
      <formula1>Sheet1!$N$5:$N$13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Stephen Hall</cp:lastModifiedBy>
  <dcterms:created xsi:type="dcterms:W3CDTF">2013-04-30T09:51:31Z</dcterms:created>
  <dcterms:modified xsi:type="dcterms:W3CDTF">2013-11-20T16:09:56Z</dcterms:modified>
  <cp:category/>
  <cp:version/>
  <cp:contentType/>
  <cp:contentStatus/>
</cp:coreProperties>
</file>